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75" windowHeight="11250"/>
  </bookViews>
  <sheets>
    <sheet name="4.985 20yr @ 3.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D12" i="1"/>
  <c r="D13" i="1" s="1"/>
  <c r="H10" i="1"/>
  <c r="D16" i="1" l="1"/>
  <c r="D17" i="1" s="1"/>
  <c r="E17" i="1" s="1"/>
  <c r="G17" i="1" s="1"/>
  <c r="H17" i="1" s="1"/>
  <c r="E13" i="1"/>
  <c r="D26" i="1"/>
  <c r="D27" i="1" s="1"/>
  <c r="E27" i="1" s="1"/>
  <c r="G27" i="1" s="1"/>
  <c r="H27" i="1" s="1"/>
  <c r="D42" i="1"/>
  <c r="D43" i="1" s="1"/>
  <c r="E43" i="1" s="1"/>
  <c r="G43" i="1" s="1"/>
  <c r="H43" i="1" s="1"/>
  <c r="C53" i="1"/>
  <c r="D22" i="1"/>
  <c r="D23" i="1" s="1"/>
  <c r="E23" i="1" s="1"/>
  <c r="G23" i="1" s="1"/>
  <c r="H23" i="1" s="1"/>
  <c r="D38" i="1"/>
  <c r="D39" i="1" s="1"/>
  <c r="E39" i="1" s="1"/>
  <c r="G39" i="1" s="1"/>
  <c r="H39" i="1" s="1"/>
  <c r="D18" i="1"/>
  <c r="D19" i="1" s="1"/>
  <c r="E19" i="1" s="1"/>
  <c r="G19" i="1" s="1"/>
  <c r="H19" i="1" s="1"/>
  <c r="D34" i="1"/>
  <c r="D35" i="1" s="1"/>
  <c r="E35" i="1" s="1"/>
  <c r="G35" i="1" s="1"/>
  <c r="H35" i="1" s="1"/>
  <c r="D50" i="1"/>
  <c r="D51" i="1" s="1"/>
  <c r="E51" i="1" s="1"/>
  <c r="G51" i="1" s="1"/>
  <c r="H51" i="1" s="1"/>
  <c r="D14" i="1"/>
  <c r="D15" i="1" s="1"/>
  <c r="E15" i="1" s="1"/>
  <c r="G15" i="1" s="1"/>
  <c r="H15" i="1" s="1"/>
  <c r="D30" i="1"/>
  <c r="D31" i="1" s="1"/>
  <c r="E31" i="1" s="1"/>
  <c r="G31" i="1" s="1"/>
  <c r="H31" i="1" s="1"/>
  <c r="D46" i="1"/>
  <c r="D47" i="1" s="1"/>
  <c r="E47" i="1" s="1"/>
  <c r="G47" i="1" s="1"/>
  <c r="H47" i="1" s="1"/>
  <c r="G13" i="1"/>
  <c r="H13" i="1" s="1"/>
  <c r="D20" i="1"/>
  <c r="D21" i="1" s="1"/>
  <c r="E21" i="1" s="1"/>
  <c r="G21" i="1" s="1"/>
  <c r="H21" i="1" s="1"/>
  <c r="D24" i="1"/>
  <c r="D25" i="1" s="1"/>
  <c r="E25" i="1" s="1"/>
  <c r="G25" i="1" s="1"/>
  <c r="H25" i="1" s="1"/>
  <c r="D28" i="1"/>
  <c r="D29" i="1" s="1"/>
  <c r="E29" i="1" s="1"/>
  <c r="G29" i="1" s="1"/>
  <c r="H29" i="1" s="1"/>
  <c r="D32" i="1"/>
  <c r="D33" i="1" s="1"/>
  <c r="E33" i="1" s="1"/>
  <c r="G33" i="1" s="1"/>
  <c r="H33" i="1" s="1"/>
  <c r="D36" i="1"/>
  <c r="D37" i="1" s="1"/>
  <c r="E37" i="1" s="1"/>
  <c r="G37" i="1" s="1"/>
  <c r="H37" i="1" s="1"/>
  <c r="D40" i="1"/>
  <c r="D41" i="1" s="1"/>
  <c r="E41" i="1" s="1"/>
  <c r="G41" i="1" s="1"/>
  <c r="H41" i="1" s="1"/>
  <c r="D44" i="1"/>
  <c r="D45" i="1" s="1"/>
  <c r="E45" i="1" s="1"/>
  <c r="G45" i="1" s="1"/>
  <c r="H45" i="1" s="1"/>
  <c r="D48" i="1"/>
  <c r="D49" i="1" s="1"/>
  <c r="E49" i="1" s="1"/>
  <c r="G49" i="1" s="1"/>
  <c r="H49" i="1" s="1"/>
  <c r="D53" i="1" l="1"/>
  <c r="E53" i="1"/>
  <c r="H53" i="1"/>
</calcChain>
</file>

<file path=xl/sharedStrings.xml><?xml version="1.0" encoding="utf-8"?>
<sst xmlns="http://schemas.openxmlformats.org/spreadsheetml/2006/main" count="18" uniqueCount="18">
  <si>
    <t>PROPOSED PROJECT</t>
  </si>
  <si>
    <t>Police Dpt Project</t>
  </si>
  <si>
    <t>DEBT ISSUE:</t>
  </si>
  <si>
    <t>Property Valuation (FY16):</t>
  </si>
  <si>
    <t>Term: 20 Yrs</t>
  </si>
  <si>
    <t>Interest Rate:</t>
  </si>
  <si>
    <t>Insert your home's assessed value in the yellow square</t>
  </si>
  <si>
    <t>Cost Per</t>
  </si>
  <si>
    <t>If Exclusion:</t>
  </si>
  <si>
    <t>year for a</t>
  </si>
  <si>
    <t>Increase to</t>
  </si>
  <si>
    <t>Year</t>
  </si>
  <si>
    <t>Principal</t>
  </si>
  <si>
    <t>Interest</t>
  </si>
  <si>
    <t>Total (by Year)</t>
  </si>
  <si>
    <t>Tax Rate</t>
  </si>
  <si>
    <t>assesed home</t>
  </si>
  <si>
    <t>Average over 20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</si>
</sst>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ont="1"/>
    <xf numFmtId="0" fontId="1" fillId="0" borderId="0" xfId="2"/>
    <xf numFmtId="3" fontId="1" fillId="0" borderId="1" xfId="2" applyNumberFormat="1" applyBorder="1" applyAlignment="1">
      <alignment horizontal="center"/>
    </xf>
    <xf numFmtId="0" fontId="2" fillId="0" borderId="0" xfId="2" applyFont="1" applyAlignment="1">
      <alignment horizontal="right"/>
    </xf>
    <xf numFmtId="3" fontId="1" fillId="0" borderId="0" xfId="2" applyNumberFormat="1" applyBorder="1" applyAlignment="1">
      <alignment horizontal="center"/>
    </xf>
    <xf numFmtId="0" fontId="1" fillId="0" borderId="0" xfId="2" applyAlignment="1">
      <alignment horizontal="center"/>
    </xf>
    <xf numFmtId="10" fontId="1" fillId="0" borderId="1" xfId="2" applyNumberFormat="1" applyBorder="1" applyAlignment="1">
      <alignment horizontal="center"/>
    </xf>
    <xf numFmtId="10" fontId="1" fillId="0" borderId="0" xfId="2" applyNumberFormat="1" applyBorder="1" applyAlignment="1">
      <alignment horizontal="center"/>
    </xf>
    <xf numFmtId="0" fontId="2" fillId="0" borderId="0" xfId="2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1" xfId="2" applyFont="1" applyBorder="1" applyAlignment="1">
      <alignment horizontal="center"/>
    </xf>
    <xf numFmtId="3" fontId="1" fillId="0" borderId="0" xfId="2" applyNumberFormat="1"/>
    <xf numFmtId="4" fontId="1" fillId="0" borderId="0" xfId="2" applyNumberFormat="1" applyAlignment="1">
      <alignment horizontal="center"/>
    </xf>
    <xf numFmtId="43" fontId="1" fillId="0" borderId="0" xfId="1" applyFont="1"/>
    <xf numFmtId="43" fontId="1" fillId="0" borderId="0" xfId="1" applyFont="1" applyAlignment="1">
      <alignment horizontal="center"/>
    </xf>
    <xf numFmtId="3" fontId="1" fillId="0" borderId="1" xfId="2" applyNumberFormat="1" applyBorder="1"/>
    <xf numFmtId="43" fontId="1" fillId="0" borderId="1" xfId="1" applyFont="1" applyBorder="1"/>
    <xf numFmtId="2" fontId="1" fillId="0" borderId="0" xfId="2" applyNumberFormat="1"/>
    <xf numFmtId="164" fontId="1" fillId="0" borderId="0" xfId="1" applyNumberFormat="1" applyFont="1"/>
    <xf numFmtId="1" fontId="1" fillId="0" borderId="0" xfId="2" applyNumberFormat="1" applyFont="1"/>
    <xf numFmtId="164" fontId="1" fillId="0" borderId="0" xfId="2" applyNumberFormat="1"/>
    <xf numFmtId="43" fontId="1" fillId="0" borderId="0" xfId="2" applyNumberFormat="1"/>
    <xf numFmtId="164" fontId="1" fillId="2" borderId="0" xfId="1" applyNumberFormat="1" applyFont="1" applyFill="1" applyProtection="1">
      <protection locked="0"/>
    </xf>
  </cellXfs>
  <cellStyles count="3">
    <cellStyle name="Comma" xfId="1" builtinId="3"/>
    <cellStyle name="Normal" xfId="0" builtinId="0"/>
    <cellStyle name="Normal_DEBT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zoomScaleSheetLayoutView="100" workbookViewId="0">
      <selection activeCell="G7" sqref="G7"/>
    </sheetView>
  </sheetViews>
  <sheetFormatPr defaultColWidth="10.75" defaultRowHeight="12.75"/>
  <cols>
    <col min="1" max="1" width="12.875" style="2" bestFit="1" customWidth="1"/>
    <col min="2" max="2" width="1.75" style="2" customWidth="1"/>
    <col min="3" max="4" width="10.75" style="2"/>
    <col min="5" max="5" width="13.75" style="2" customWidth="1"/>
    <col min="6" max="6" width="1.75" style="2" customWidth="1"/>
    <col min="7" max="8" width="15.75" style="2" customWidth="1"/>
    <col min="9" max="16384" width="10.75" style="2"/>
  </cols>
  <sheetData>
    <row r="1" spans="1:8">
      <c r="A1" s="1" t="s">
        <v>0</v>
      </c>
      <c r="B1" s="1"/>
    </row>
    <row r="2" spans="1:8">
      <c r="A2" s="1" t="s">
        <v>1</v>
      </c>
      <c r="B2" s="1"/>
    </row>
    <row r="3" spans="1:8">
      <c r="A3" s="1" t="s">
        <v>2</v>
      </c>
      <c r="B3" s="1"/>
      <c r="C3" s="3">
        <v>5186460</v>
      </c>
      <c r="E3" s="4" t="s">
        <v>3</v>
      </c>
      <c r="G3" s="3">
        <v>857610284</v>
      </c>
      <c r="H3" s="5"/>
    </row>
    <row r="4" spans="1:8">
      <c r="A4" s="1" t="s">
        <v>4</v>
      </c>
      <c r="B4" s="1"/>
      <c r="C4" s="6"/>
    </row>
    <row r="5" spans="1:8">
      <c r="A5" s="1" t="s">
        <v>5</v>
      </c>
      <c r="B5" s="1"/>
      <c r="C5" s="7">
        <v>3.5000000000000003E-2</v>
      </c>
    </row>
    <row r="6" spans="1:8">
      <c r="A6" s="1"/>
      <c r="B6" s="1"/>
      <c r="C6" s="8"/>
      <c r="H6" s="9"/>
    </row>
    <row r="7" spans="1:8">
      <c r="A7" s="1" t="s">
        <v>6</v>
      </c>
      <c r="B7" s="1"/>
      <c r="C7" s="8"/>
      <c r="G7" s="23">
        <v>250000</v>
      </c>
      <c r="H7" s="9"/>
    </row>
    <row r="8" spans="1:8">
      <c r="H8" s="9" t="s">
        <v>7</v>
      </c>
    </row>
    <row r="9" spans="1:8">
      <c r="G9" s="9" t="s">
        <v>8</v>
      </c>
      <c r="H9" s="9" t="s">
        <v>9</v>
      </c>
    </row>
    <row r="10" spans="1:8">
      <c r="G10" s="9" t="s">
        <v>10</v>
      </c>
      <c r="H10" s="10">
        <f>+G7</f>
        <v>250000</v>
      </c>
    </row>
    <row r="11" spans="1:8">
      <c r="A11" s="11" t="s">
        <v>11</v>
      </c>
      <c r="B11" s="9"/>
      <c r="C11" s="11" t="s">
        <v>12</v>
      </c>
      <c r="D11" s="11" t="s">
        <v>13</v>
      </c>
      <c r="E11" s="11" t="s">
        <v>14</v>
      </c>
      <c r="G11" s="11" t="s">
        <v>15</v>
      </c>
      <c r="H11" s="11" t="s">
        <v>16</v>
      </c>
    </row>
    <row r="12" spans="1:8">
      <c r="C12" s="12"/>
      <c r="D12" s="12">
        <f>C3*C5/2</f>
        <v>90763.05</v>
      </c>
      <c r="E12" s="12"/>
    </row>
    <row r="13" spans="1:8">
      <c r="A13" s="6">
        <v>1</v>
      </c>
      <c r="C13" s="12">
        <f>C3/20</f>
        <v>259323</v>
      </c>
      <c r="D13" s="12">
        <f>D12</f>
        <v>90763.05</v>
      </c>
      <c r="E13" s="12">
        <f>D13+C13+D12</f>
        <v>440849.1</v>
      </c>
      <c r="G13" s="13">
        <f>E13/(G3/1000)</f>
        <v>0.51404362590409425</v>
      </c>
      <c r="H13" s="14">
        <f>ROUND(+G13*($G$7/1000),2)</f>
        <v>128.51</v>
      </c>
    </row>
    <row r="14" spans="1:8">
      <c r="A14" s="6"/>
      <c r="C14" s="12"/>
      <c r="D14" s="12">
        <f>(C3-C13)*C5/2</f>
        <v>86224.897500000006</v>
      </c>
      <c r="E14" s="12"/>
      <c r="G14" s="13"/>
      <c r="H14" s="15"/>
    </row>
    <row r="15" spans="1:8">
      <c r="A15" s="6">
        <v>2</v>
      </c>
      <c r="C15" s="12">
        <f>C3/20</f>
        <v>259323</v>
      </c>
      <c r="D15" s="12">
        <f>D14</f>
        <v>86224.897500000006</v>
      </c>
      <c r="E15" s="12">
        <f>D15+C15+D14</f>
        <v>431772.79500000004</v>
      </c>
      <c r="G15" s="13">
        <f>E15/(G3/1000)</f>
        <v>0.50346037478253935</v>
      </c>
      <c r="H15" s="14">
        <f>ROUND(+G15*($G$7/1000),2)</f>
        <v>125.87</v>
      </c>
    </row>
    <row r="16" spans="1:8">
      <c r="A16" s="6"/>
      <c r="C16" s="12"/>
      <c r="D16" s="12">
        <f>(C3-C13-C15)*C5/2</f>
        <v>81686.74500000001</v>
      </c>
      <c r="E16" s="12"/>
      <c r="G16" s="13"/>
      <c r="H16" s="15"/>
    </row>
    <row r="17" spans="1:8">
      <c r="A17" s="6">
        <v>3</v>
      </c>
      <c r="C17" s="12">
        <f>C3/20</f>
        <v>259323</v>
      </c>
      <c r="D17" s="12">
        <f>D16</f>
        <v>81686.74500000001</v>
      </c>
      <c r="E17" s="12">
        <f>D17+C17+D16</f>
        <v>422696.49</v>
      </c>
      <c r="G17" s="13">
        <f>E17/(G3/1000)</f>
        <v>0.49287712366098446</v>
      </c>
      <c r="H17" s="14">
        <f>ROUND(+G17*($G$7/1000),2)</f>
        <v>123.22</v>
      </c>
    </row>
    <row r="18" spans="1:8">
      <c r="A18" s="6"/>
      <c r="C18" s="12"/>
      <c r="D18" s="12">
        <f>(C3-C13-C15-C17)*C5/2</f>
        <v>77148.592500000013</v>
      </c>
      <c r="E18" s="12"/>
      <c r="G18" s="13"/>
      <c r="H18" s="15"/>
    </row>
    <row r="19" spans="1:8">
      <c r="A19" s="6">
        <v>4</v>
      </c>
      <c r="C19" s="12">
        <f>C3/20</f>
        <v>259323</v>
      </c>
      <c r="D19" s="12">
        <f>D18</f>
        <v>77148.592500000013</v>
      </c>
      <c r="E19" s="12">
        <f>D19+C19+D18</f>
        <v>413620.18500000006</v>
      </c>
      <c r="G19" s="13">
        <f>E19/(G3/1000)</f>
        <v>0.48229387253942962</v>
      </c>
      <c r="H19" s="14">
        <f>ROUND(+G19*($G$7/1000),2)</f>
        <v>120.57</v>
      </c>
    </row>
    <row r="20" spans="1:8">
      <c r="A20" s="6"/>
      <c r="C20" s="12"/>
      <c r="D20" s="12">
        <f>(C3-C13-C15-C17-C19)*C5/2</f>
        <v>72610.44</v>
      </c>
      <c r="E20" s="12"/>
      <c r="G20" s="13"/>
      <c r="H20" s="15"/>
    </row>
    <row r="21" spans="1:8">
      <c r="A21" s="6">
        <v>5</v>
      </c>
      <c r="C21" s="12">
        <f>C3/20</f>
        <v>259323</v>
      </c>
      <c r="D21" s="12">
        <f>D20</f>
        <v>72610.44</v>
      </c>
      <c r="E21" s="12">
        <f>D21+C21+D20</f>
        <v>404543.88</v>
      </c>
      <c r="G21" s="13">
        <f>E21/(G3/1000)</f>
        <v>0.47171062141787473</v>
      </c>
      <c r="H21" s="14">
        <f>ROUND(+G21*($G$7/1000),2)</f>
        <v>117.93</v>
      </c>
    </row>
    <row r="22" spans="1:8">
      <c r="A22" s="6"/>
      <c r="C22" s="12"/>
      <c r="D22" s="12">
        <f>(C3-C13-C15-C17-C19-C21)*C5/2</f>
        <v>68072.287500000006</v>
      </c>
      <c r="E22" s="12"/>
      <c r="G22" s="13"/>
      <c r="H22" s="15"/>
    </row>
    <row r="23" spans="1:8">
      <c r="A23" s="6">
        <v>6</v>
      </c>
      <c r="C23" s="12">
        <f>C3/20</f>
        <v>259323</v>
      </c>
      <c r="D23" s="12">
        <f>D22</f>
        <v>68072.287500000006</v>
      </c>
      <c r="E23" s="12">
        <f>D23+C23+D22</f>
        <v>395467.57499999995</v>
      </c>
      <c r="G23" s="13">
        <f>E23/(G3/1000)</f>
        <v>0.46112737029631978</v>
      </c>
      <c r="H23" s="14">
        <f>ROUND(+G23*($G$7/1000),2)</f>
        <v>115.28</v>
      </c>
    </row>
    <row r="24" spans="1:8">
      <c r="A24" s="6"/>
      <c r="C24" s="12"/>
      <c r="D24" s="12">
        <f>(C3-C13-C15-C17-C19-C21-C23)*C5/2</f>
        <v>63534.135000000009</v>
      </c>
      <c r="E24" s="12"/>
      <c r="G24" s="13"/>
      <c r="H24" s="15"/>
    </row>
    <row r="25" spans="1:8">
      <c r="A25" s="6">
        <v>7</v>
      </c>
      <c r="C25" s="12">
        <f>C3/20</f>
        <v>259323</v>
      </c>
      <c r="D25" s="12">
        <f>D24</f>
        <v>63534.135000000009</v>
      </c>
      <c r="E25" s="12">
        <f>D25+C25+D24</f>
        <v>386391.27</v>
      </c>
      <c r="G25" s="13">
        <f>E25/(G3/1000)</f>
        <v>0.45054411917476495</v>
      </c>
      <c r="H25" s="14">
        <f>ROUND(+G25*($G$7/1000),2)</f>
        <v>112.64</v>
      </c>
    </row>
    <row r="26" spans="1:8">
      <c r="A26" s="6"/>
      <c r="C26" s="12"/>
      <c r="D26" s="12">
        <f>(C3-C13-C15-C17-C19-C21-C23-C25)*C5/2</f>
        <v>58995.982500000006</v>
      </c>
      <c r="E26" s="12"/>
      <c r="G26" s="13"/>
      <c r="H26" s="15"/>
    </row>
    <row r="27" spans="1:8">
      <c r="A27" s="6">
        <v>8</v>
      </c>
      <c r="C27" s="12">
        <f>C3/20</f>
        <v>259323</v>
      </c>
      <c r="D27" s="12">
        <f>D26</f>
        <v>58995.982500000006</v>
      </c>
      <c r="E27" s="12">
        <f>D27+C27+D26</f>
        <v>377314.96499999997</v>
      </c>
      <c r="G27" s="13">
        <f>E27/(G3/1000)</f>
        <v>0.43996086805321</v>
      </c>
      <c r="H27" s="14">
        <f>ROUND(+G27*($G$7/1000),2)</f>
        <v>109.99</v>
      </c>
    </row>
    <row r="28" spans="1:8">
      <c r="A28" s="6"/>
      <c r="C28" s="12"/>
      <c r="D28" s="12">
        <f>(C3-C13-C15-C17-C19-C21-C23-C25-C27)*C5/2</f>
        <v>54457.83</v>
      </c>
      <c r="E28" s="12"/>
      <c r="G28" s="13"/>
      <c r="H28" s="15"/>
    </row>
    <row r="29" spans="1:8">
      <c r="A29" s="6">
        <v>9</v>
      </c>
      <c r="C29" s="12">
        <f>C3/20</f>
        <v>259323</v>
      </c>
      <c r="D29" s="12">
        <f>D28</f>
        <v>54457.83</v>
      </c>
      <c r="E29" s="12">
        <f>D29+C29+D28</f>
        <v>368238.66000000003</v>
      </c>
      <c r="G29" s="13">
        <f>E29/(G3/1000)</f>
        <v>0.42937761693165521</v>
      </c>
      <c r="H29" s="14">
        <f>ROUND(+G29*($G$7/1000),2)</f>
        <v>107.34</v>
      </c>
    </row>
    <row r="30" spans="1:8">
      <c r="A30" s="6"/>
      <c r="C30" s="12"/>
      <c r="D30" s="12">
        <f>(C3-C13-C15-C17-C19-C21-C23-C25-C27-C29)*C5/2</f>
        <v>49919.677500000005</v>
      </c>
      <c r="E30" s="12"/>
      <c r="G30" s="13"/>
      <c r="H30" s="15"/>
    </row>
    <row r="31" spans="1:8">
      <c r="A31" s="6">
        <v>10</v>
      </c>
      <c r="C31" s="12">
        <f>C3/20</f>
        <v>259323</v>
      </c>
      <c r="D31" s="12">
        <f>D30</f>
        <v>49919.677500000005</v>
      </c>
      <c r="E31" s="12">
        <f>D31+C31+D30</f>
        <v>359162.35499999998</v>
      </c>
      <c r="G31" s="13">
        <f>E31/(G3/1000)</f>
        <v>0.41879436581010027</v>
      </c>
      <c r="H31" s="14">
        <f>ROUND(+G31*($G$7/1000),2)</f>
        <v>104.7</v>
      </c>
    </row>
    <row r="32" spans="1:8">
      <c r="A32" s="6"/>
      <c r="C32" s="12"/>
      <c r="D32" s="12">
        <f>(C3-C13-C15-C17-C19-C21-C23-C25-C27-C29-C31)*C5/2</f>
        <v>45381.525000000001</v>
      </c>
      <c r="E32" s="12"/>
      <c r="G32" s="13"/>
      <c r="H32" s="15"/>
    </row>
    <row r="33" spans="1:8">
      <c r="A33" s="6">
        <v>11</v>
      </c>
      <c r="C33" s="12">
        <f>C3/20</f>
        <v>259323</v>
      </c>
      <c r="D33" s="12">
        <f>D32</f>
        <v>45381.525000000001</v>
      </c>
      <c r="E33" s="12">
        <f>D33+C33+D32</f>
        <v>350086.05000000005</v>
      </c>
      <c r="G33" s="13">
        <f>E33/(G3/1000)</f>
        <v>0.40821111468854548</v>
      </c>
      <c r="H33" s="14">
        <f>ROUND(+G33*($G$7/1000),2)</f>
        <v>102.05</v>
      </c>
    </row>
    <row r="34" spans="1:8">
      <c r="A34" s="6"/>
      <c r="C34" s="12"/>
      <c r="D34" s="12">
        <f>(C3-C13-C15-C17-C19-C21-C23-C25-C27-C29-C31-C33)*C5/2</f>
        <v>40843.372500000005</v>
      </c>
      <c r="E34" s="12"/>
      <c r="G34" s="13"/>
      <c r="H34" s="15"/>
    </row>
    <row r="35" spans="1:8">
      <c r="A35" s="6">
        <v>12</v>
      </c>
      <c r="C35" s="12">
        <f>C3/20</f>
        <v>259323</v>
      </c>
      <c r="D35" s="12">
        <f>D34</f>
        <v>40843.372500000005</v>
      </c>
      <c r="E35" s="12">
        <f>D35+C35+D34</f>
        <v>341009.745</v>
      </c>
      <c r="G35" s="13">
        <f>E35/(G3/1000)</f>
        <v>0.39762786356699054</v>
      </c>
      <c r="H35" s="14">
        <f>ROUND(+G35*($G$7/1000),2)</f>
        <v>99.41</v>
      </c>
    </row>
    <row r="36" spans="1:8">
      <c r="A36" s="6"/>
      <c r="C36" s="12"/>
      <c r="D36" s="12">
        <f>(C3-C13-C15-C17-C19-C21-C23-C25-C27-C29-C31-C33-C35)*C5/2</f>
        <v>36305.22</v>
      </c>
      <c r="E36" s="12"/>
      <c r="G36" s="13"/>
      <c r="H36" s="15"/>
    </row>
    <row r="37" spans="1:8">
      <c r="A37" s="6">
        <v>13</v>
      </c>
      <c r="C37" s="12">
        <f>C3/20</f>
        <v>259323</v>
      </c>
      <c r="D37" s="12">
        <f>D36</f>
        <v>36305.22</v>
      </c>
      <c r="E37" s="12">
        <f>D37+C37+D36</f>
        <v>331933.43999999994</v>
      </c>
      <c r="G37" s="13">
        <f>E37/(G3/1000)</f>
        <v>0.38704461244543559</v>
      </c>
      <c r="H37" s="14">
        <f>ROUND(+G37*($G$7/1000),2)</f>
        <v>96.76</v>
      </c>
    </row>
    <row r="38" spans="1:8">
      <c r="A38" s="6"/>
      <c r="C38" s="12"/>
      <c r="D38" s="12">
        <f>(C3-C13-C15-C17-C19-C21-C23-C25-C27-C29-C31-C33-C35-C37)*C5/2</f>
        <v>31767.067500000005</v>
      </c>
      <c r="E38" s="12"/>
      <c r="G38" s="13"/>
      <c r="H38" s="15"/>
    </row>
    <row r="39" spans="1:8">
      <c r="A39" s="6">
        <v>14</v>
      </c>
      <c r="C39" s="12">
        <f>C3/20</f>
        <v>259323</v>
      </c>
      <c r="D39" s="12">
        <f>D38</f>
        <v>31767.067500000005</v>
      </c>
      <c r="E39" s="12">
        <f>D39+C39+D38</f>
        <v>322857.13500000001</v>
      </c>
      <c r="G39" s="13">
        <f>E39/(G3/1000)</f>
        <v>0.37646136132388081</v>
      </c>
      <c r="H39" s="14">
        <f>ROUND(+G39*($G$7/1000),2)</f>
        <v>94.12</v>
      </c>
    </row>
    <row r="40" spans="1:8">
      <c r="A40" s="6"/>
      <c r="C40" s="12"/>
      <c r="D40" s="12">
        <f>(C3-C13-C15-C17-C19-C21-C23-C25-C27-C29-C31-C33-C35-C37-C39)*C5/2</f>
        <v>27228.915000000001</v>
      </c>
      <c r="E40" s="12"/>
      <c r="G40" s="13"/>
      <c r="H40" s="15"/>
    </row>
    <row r="41" spans="1:8">
      <c r="A41" s="6">
        <v>15</v>
      </c>
      <c r="C41" s="12">
        <f>C3/20</f>
        <v>259323</v>
      </c>
      <c r="D41" s="12">
        <f>D40</f>
        <v>27228.915000000001</v>
      </c>
      <c r="E41" s="12">
        <f>D41+C41+D40</f>
        <v>313780.82999999996</v>
      </c>
      <c r="G41" s="13">
        <f>E41/(G3/1000)</f>
        <v>0.36587811020232586</v>
      </c>
      <c r="H41" s="14">
        <f>ROUND(+G41*($G$7/1000),2)</f>
        <v>91.47</v>
      </c>
    </row>
    <row r="42" spans="1:8">
      <c r="A42" s="6"/>
      <c r="C42" s="12"/>
      <c r="D42" s="12">
        <f>(C3-C13-C15-C17-C19-C21-C23-C25-C27-C29-C31-C33-C35-C37-C39-C41)*C5/2</f>
        <v>22690.762500000001</v>
      </c>
      <c r="E42" s="12"/>
      <c r="G42" s="13"/>
      <c r="H42" s="15"/>
    </row>
    <row r="43" spans="1:8">
      <c r="A43" s="6">
        <v>16</v>
      </c>
      <c r="C43" s="12">
        <f>C3/20</f>
        <v>259323</v>
      </c>
      <c r="D43" s="12">
        <f>D42</f>
        <v>22690.762500000001</v>
      </c>
      <c r="E43" s="12">
        <f>D43+C43+D42</f>
        <v>304704.52500000002</v>
      </c>
      <c r="G43" s="13">
        <f>E43/(G3/1000)</f>
        <v>0.35529485908077102</v>
      </c>
      <c r="H43" s="14">
        <f>ROUND(+G43*($G$7/1000),2)</f>
        <v>88.82</v>
      </c>
    </row>
    <row r="44" spans="1:8">
      <c r="A44" s="6"/>
      <c r="C44" s="12"/>
      <c r="D44" s="12">
        <f>(C3-C13-C15-C17-C19-C21-C23-C25-C27-C29-C31-C33-C35-C37-C39-C41-C43)*C5/2</f>
        <v>18152.61</v>
      </c>
      <c r="E44" s="12"/>
      <c r="G44" s="13"/>
      <c r="H44" s="15"/>
    </row>
    <row r="45" spans="1:8">
      <c r="A45" s="6">
        <v>17</v>
      </c>
      <c r="C45" s="12">
        <f>C3/20</f>
        <v>259323</v>
      </c>
      <c r="D45" s="12">
        <f>D44</f>
        <v>18152.61</v>
      </c>
      <c r="E45" s="12">
        <f>D45+C45+D44</f>
        <v>295628.21999999997</v>
      </c>
      <c r="G45" s="13">
        <f>E45/(G3/1000)</f>
        <v>0.34471160795921607</v>
      </c>
      <c r="H45" s="14">
        <f>ROUND(+G45*($G$7/1000),2)</f>
        <v>86.18</v>
      </c>
    </row>
    <row r="46" spans="1:8">
      <c r="A46" s="6"/>
      <c r="C46" s="12"/>
      <c r="D46" s="12">
        <f>(C3-SUM(C12:C45))*C5/2</f>
        <v>13614.4575</v>
      </c>
      <c r="E46" s="12"/>
      <c r="G46" s="13"/>
      <c r="H46" s="15"/>
    </row>
    <row r="47" spans="1:8">
      <c r="A47" s="6">
        <v>18</v>
      </c>
      <c r="C47" s="12">
        <f>C3/20</f>
        <v>259323</v>
      </c>
      <c r="D47" s="12">
        <f>D46</f>
        <v>13614.4575</v>
      </c>
      <c r="E47" s="12">
        <f>D47+C47+D46</f>
        <v>286551.91500000004</v>
      </c>
      <c r="G47" s="13">
        <f>E47/(G3/1000)</f>
        <v>0.33412835683766129</v>
      </c>
      <c r="H47" s="14">
        <f>ROUND(+G47*($G$7/1000),2)</f>
        <v>83.53</v>
      </c>
    </row>
    <row r="48" spans="1:8">
      <c r="A48" s="6"/>
      <c r="C48" s="12"/>
      <c r="D48" s="12">
        <f>(C3-SUM(C12:C47))*C5/2</f>
        <v>9076.3050000000003</v>
      </c>
      <c r="E48" s="12"/>
      <c r="G48" s="13"/>
      <c r="H48" s="15"/>
    </row>
    <row r="49" spans="1:9">
      <c r="A49" s="6">
        <v>19</v>
      </c>
      <c r="C49" s="12">
        <f>C3/20</f>
        <v>259323</v>
      </c>
      <c r="D49" s="12">
        <f>D48</f>
        <v>9076.3050000000003</v>
      </c>
      <c r="E49" s="12">
        <f>D49+C49+D48</f>
        <v>277475.61</v>
      </c>
      <c r="G49" s="13">
        <f>E49/(G3/1000)</f>
        <v>0.32354510571610634</v>
      </c>
      <c r="H49" s="14">
        <f>ROUND(+G49*($G$7/1000),2)</f>
        <v>80.89</v>
      </c>
    </row>
    <row r="50" spans="1:9">
      <c r="A50" s="6"/>
      <c r="C50" s="12"/>
      <c r="D50" s="12">
        <f>(C3-SUM(C12:C49))*C5/2</f>
        <v>4538.1525000000001</v>
      </c>
      <c r="E50" s="12"/>
      <c r="G50" s="13"/>
      <c r="H50" s="15"/>
    </row>
    <row r="51" spans="1:9">
      <c r="A51" s="6">
        <v>20</v>
      </c>
      <c r="C51" s="16">
        <f>C3/20</f>
        <v>259323</v>
      </c>
      <c r="D51" s="16">
        <f>D50</f>
        <v>4538.1525000000001</v>
      </c>
      <c r="E51" s="16">
        <f>D51+C51+D50</f>
        <v>268399.30500000005</v>
      </c>
      <c r="G51" s="13">
        <f>E51/(G3/1000)</f>
        <v>0.31296185459455156</v>
      </c>
      <c r="H51" s="17">
        <f>ROUND(+G51*($G$7/1000),2)</f>
        <v>78.239999999999995</v>
      </c>
    </row>
    <row r="52" spans="1:9">
      <c r="C52" s="12"/>
      <c r="D52" s="12"/>
      <c r="E52" s="12"/>
    </row>
    <row r="53" spans="1:9">
      <c r="C53" s="16">
        <f>SUM(C12:C51)</f>
        <v>5186460</v>
      </c>
      <c r="D53" s="16">
        <f>SUM(D12:D51)</f>
        <v>1906024.0499999998</v>
      </c>
      <c r="E53" s="16">
        <f>SUM(E12:E51)</f>
        <v>7092484.0499999998</v>
      </c>
      <c r="G53" s="18"/>
      <c r="H53" s="18">
        <f>SUM(H13:H51)/20</f>
        <v>103.376</v>
      </c>
      <c r="I53" s="2" t="s">
        <v>17</v>
      </c>
    </row>
    <row r="54" spans="1:9">
      <c r="E54" s="19"/>
      <c r="G54" s="20"/>
      <c r="H54" s="20"/>
    </row>
    <row r="55" spans="1:9">
      <c r="A55" s="19"/>
    </row>
    <row r="56" spans="1:9">
      <c r="A56" s="19"/>
    </row>
    <row r="57" spans="1:9">
      <c r="A57" s="21"/>
      <c r="B57" s="22"/>
    </row>
  </sheetData>
  <sheetProtection password="B3EF" sheet="1" objects="1" scenarios="1" selectLockedCells="1"/>
  <printOptions horizontalCentered="1" gridLinesSet="0"/>
  <pageMargins left="0.75" right="0.75" top="0.75" bottom="0.5" header="0.5" footer="0.5"/>
  <pageSetup scale="85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4.985 20yr @ 3.5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Karen</cp:lastModifiedBy>
  <cp:lastPrinted>2016-10-05T21:45:59Z</cp:lastPrinted>
  <dcterms:created xsi:type="dcterms:W3CDTF">2016-10-05T12:10:36Z</dcterms:created>
  <dcterms:modified xsi:type="dcterms:W3CDTF">2016-10-06T12:55:29Z</dcterms:modified>
</cp:coreProperties>
</file>